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795" windowWidth="15600" windowHeight="6750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X21" i="7" l="1"/>
  <c r="X13" i="7"/>
  <c r="X11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P11" i="7"/>
  <c r="N13" i="7"/>
  <c r="I14" i="7"/>
  <c r="H15" i="7"/>
  <c r="P15" i="7"/>
  <c r="O16" i="7"/>
  <c r="N17" i="7"/>
  <c r="M18" i="7"/>
  <c r="L19" i="7"/>
  <c r="K20" i="7"/>
  <c r="J21" i="7"/>
  <c r="I2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11" i="7"/>
  <c r="J13" i="7"/>
  <c r="M14" i="7"/>
  <c r="L15" i="7"/>
  <c r="K16" i="7"/>
  <c r="J17" i="7"/>
  <c r="I18" i="7"/>
  <c r="H19" i="7"/>
  <c r="P19" i="7"/>
  <c r="O20" i="7"/>
  <c r="N21" i="7"/>
  <c r="M22" i="7"/>
  <c r="I11" i="7"/>
  <c r="F11" i="7"/>
  <c r="M8" i="4"/>
  <c r="M7" i="4"/>
  <c r="C5" i="1"/>
  <c r="D6" i="15"/>
  <c r="D6" i="7"/>
  <c r="Q18" i="7" l="1"/>
  <c r="Q13" i="7"/>
  <c r="Q15" i="7"/>
  <c r="Q11" i="7"/>
  <c r="Q20" i="7"/>
  <c r="Q16" i="7"/>
  <c r="Q21" i="7"/>
  <c r="Q22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<sst xmlns="http://schemas.openxmlformats.org/spreadsheetml/2006/main" count="1399" uniqueCount="687">
  <si>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</si>
  <si>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</si>
  <si>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</si>
  <si>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</si>
  <si>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</si>
  <si>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</si>
  <si>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</si>
  <si>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</si>
  <si>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</si>
  <si>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</si>
  <si>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</si>
  <si>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</si>
  <si>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</si>
  <si>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</si>
  <si>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</si>
  <si>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</si>
  <si>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</si>
  <si>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</si>
  <si>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</si>
  <si>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</si>
  <si>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</si>
  <si>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</si>
  <si>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</si>
  <si>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</si>
  <si>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</si>
  <si>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</si>
  <si>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</si>
  <si>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</si>
  <si>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</si>
  <si>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</si>
  <si>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</si>
  <si>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</si>
  <si>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</si>
  <si>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</si>
  <si>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</si>
  <si>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</si>
  <si>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</si>
  <si>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</si>
  <si>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</si>
  <si>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</si>
  <si>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</si>
  <si>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</si>
  <si>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</si>
  <si>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</si>
  <si>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</si>
  <si>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</si>
  <si>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</si>
  <si>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</si>
  <si>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</si>
  <si>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</si>
  <si>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</si>
  <si>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</si>
  <si>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</si>
  <si>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</si>
  <si>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</si>
  <si>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</si>
  <si>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</si>
  <si>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</si>
  <si>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</si>
  <si>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</si>
  <si>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</si>
  <si>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</si>
  <si>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</si>
  <si>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</si>
  <si>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</si>
  <si>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</si>
  <si>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</si>
  <si>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</si>
  <si>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</si>
  <si>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</si>
  <si>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</si>
  <si>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</si>
  <si>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</si>
  <si>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</si>
  <si>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</si>
  <si>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</si>
  <si>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</si>
  <si>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</si>
  <si>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</si>
  <si>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</si>
  <si>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</si>
  <si>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</si>
  <si>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</si>
  <si>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</si>
  <si>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</si>
  <si>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</si>
  <si>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</si>
  <si>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</si>
  <si>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</si>
  <si>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</si>
  <si>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</si>
  <si>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</si>
  <si>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</si>
  <si>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</si>
  <si>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</si>
  <si>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</si>
  <si>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</si>
  <si>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</si>
  <si>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</si>
  <si>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</si>
  <si>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</si>
  <si>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</si>
  <si>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</si>
  <si>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</si>
  <si>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</si>
  <si>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</si>
  <si>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</si>
  <si>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</si>
  <si>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</si>
  <si>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</si>
  <si>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</si>
  <si>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</si>
  <si>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</si>
  <si>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</si>
  <si>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</si>
  <si>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</si>
  <si>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</si>
  <si>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</si>
  <si>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</si>
  <si>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</si>
  <si>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</si>
  <si>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</si>
  <si>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</si>
  <si>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</si>
  <si>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</si>
  <si>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</si>
  <si>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</si>
  <si>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</si>
  <si>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</si>
  <si>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</si>
  <si>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</si>
  <si>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</si>
  <si>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</si>
  <si>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</si>
  <si>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</si>
  <si>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</si>
  <si>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</si>
  <si>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</si>
  <si>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</si>
  <si>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</si>
  <si>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</si>
  <si>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</si>
  <si>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</si>
  <si>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</si>
  <si>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</si>
  <si>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</si>
  <si>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</si>
  <si>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</si>
  <si>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</si>
  <si>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</si>
  <si>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</si>
  <si>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</si>
  <si>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</si>
  <si>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</si>
  <si>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</si>
  <si>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</si>
  <si>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</si>
  <si>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</si>
  <si>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</si>
  <si>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</si>
  <si>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</si>
  <si>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</si>
  <si>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</si>
  <si>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</si>
  <si>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</si>
  <si>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</si>
  <si>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</si>
  <si>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</si>
  <si>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</si>
  <si>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</si>
  <si>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</si>
  <si>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</si>
  <si>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</si>
  <si>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</si>
  <si>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</si>
  <si>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</si>
  <si>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</si>
  <si>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</si>
  <si>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</si>
  <si>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</si>
  <si>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</si>
  <si>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</si>
  <si>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</si>
  <si>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</si>
  <si>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</si>
  <si>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</si>
  <si>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</si>
  <si>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</si>
  <si>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</si>
  <si>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</si>
  <si>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</si>
  <si>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</si>
  <si>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</si>
  <si>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</si>
  <si>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</si>
  <si>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</si>
  <si>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</si>
  <si>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</si>
  <si>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</si>
  <si>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</si>
  <si>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</si>
  <si>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</si>
  <si>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</si>
  <si>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</si>
  <si>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</si>
  <si>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</si>
  <si>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</si>
  <si>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</si>
  <si>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</si>
  <si>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</si>
  <si>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</si>
  <si>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</si>
  <si>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</si>
  <si>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</si>
  <si>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</si>
  <si>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</si>
  <si>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</si>
  <si>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</si>
  <si>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</si>
  <si>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</si>
  <si>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</si>
  <si>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</si>
  <si>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</si>
  <si>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</si>
  <si>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</si>
  <si>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</si>
  <si>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</si>
  <si>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</si>
  <si>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</si>
  <si>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</si>
  <si>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</si>
  <si>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</si>
  <si>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</si>
  <si>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</si>
  <si>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</si>
  <si>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</si>
  <si>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</si>
  <si>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</si>
  <si>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</si>
  <si>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</si>
  <si>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</si>
  <si>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</si>
  <si>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</si>
  <si>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</si>
  <si>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</si>
  <si>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</si>
  <si>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</si>
  <si>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</si>
  <si>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</si>
  <si>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</si>
  <si>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</si>
  <si>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</si>
  <si>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</si>
  <si>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</si>
  <si>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</si>
  <si>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</si>
  <si>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</si>
  <si>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</si>
  <si>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</si>
  <si>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</si>
  <si>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</si>
  <si>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</si>
  <si>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</si>
  <si>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</si>
  <si>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</si>
  <si>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</si>
  <si>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</si>
  <si>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</si>
  <si>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</si>
  <si>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</si>
  <si>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</si>
  <si>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</si>
  <si>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</si>
  <si>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</si>
  <si>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</si>
  <si>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</si>
  <si>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</si>
  <si>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</si>
  <si>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</si>
  <si>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</si>
  <si>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</si>
  <si>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</si>
  <si>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</si>
  <si>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</si>
  <si>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</si>
  <si>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</si>
  <si>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</si>
  <si>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</si>
  <si>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</si>
  <si>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</si>
  <si>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</si>
  <si>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</si>
  <si>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</si>
  <si>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</si>
  <si>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</si>
  <si>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</si>
  <si>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</si>
  <si>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</si>
  <si>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</si>
  <si>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</si>
  <si>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</si>
  <si>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</si>
  <si>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</si>
  <si>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</si>
  <si>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</si>
  <si>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</si>
  <si>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</si>
  <si>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</si>
  <si>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</si>
  <si>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</si>
  <si>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</si>
  <si>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</si>
  <si>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</si>
  <si>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</si>
  <si>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</si>
  <si>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</si>
  <si>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</si>
  <si>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</si>
  <si>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</si>
  <si>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</si>
  <si>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</si>
  <si>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</si>
  <si>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</si>
  <si>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</si>
  <si>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</si>
  <si>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</si>
  <si>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</si>
  <si>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</si>
  <si>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</si>
  <si>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</si>
  <si>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</si>
  <si>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</si>
  <si>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</si>
  <si>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</si>
  <si>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</si>
  <si>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</si>
  <si>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</si>
  <si>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</si>
  <si>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</si>
  <si>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</si>
  <si>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</si>
  <si>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</si>
  <si>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</si>
  <si>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</si>
  <si>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</si>
  <si>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</si>
  <si>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</si>
  <si>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</si>
  <si>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</si>
  <si>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</si>
  <si>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</si>
  <si>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</si>
  <si>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</si>
  <si>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</si>
  <si>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</si>
  <si>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</si>
  <si>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</si>
  <si>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</si>
  <si>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</si>
  <si>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</si>
  <si>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</si>
  <si>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</si>
  <si>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</si>
  <si>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</si>
  <si>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</si>
  <si>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</si>
  <si>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</si>
  <si>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</si>
  <si>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</si>
  <si>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</si>
  <si>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</si>
  <si>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</si>
  <si>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</si>
  <si>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</si>
  <si>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</si>
  <si>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</si>
  <si>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</si>
  <si>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</si>
  <si>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</si>
  <si>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</si>
  <si>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</si>
  <si>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</si>
  <si>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</si>
  <si>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</si>
  <si>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</si>
  <si>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</si>
  <si>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</si>
  <si>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</si>
  <si>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</si>
  <si>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</si>
  <si>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</si>
  <si>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</si>
  <si>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</si>
  <si>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</si>
  <si>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</si>
  <si>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</si>
  <si>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</si>
  <si>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</si>
  <si>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</si>
  <si>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</si>
  <si>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</si>
  <si>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</si>
  <si>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</si>
  <si>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</si>
  <si>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</si>
  <si>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</si>
  <si>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</si>
  <si>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</si>
  <si>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</si>
  <si>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</si>
  <si>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</si>
  <si>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</si>
  <si>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</si>
  <si>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</si>
  <si>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</si>
  <si>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</si>
  <si>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</si>
  <si>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</si>
  <si>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</si>
  <si>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</si>
  <si>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</si>
  <si>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</si>
  <si>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</si>
  <si>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</si>
  <si>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</si>
  <si>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</si>
  <si>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</si>
  <si>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</si>
  <si>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</si>
  <si>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</si>
  <si>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</si>
  <si>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</si>
  <si>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</si>
  <si>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</si>
  <si>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</si>
  <si>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</si>
  <si>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</si>
  <si>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</si>
  <si>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</si>
  <si>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</si>
  <si>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</si>
  <si>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</si>
  <si>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</si>
  <si>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</si>
  <si>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</si>
  <si>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</si>
  <si>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</si>
  <si>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</si>
  <si>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</si>
  <si>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</si>
  <si>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</si>
  <si>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</si>
  <si>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</si>
  <si>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</si>
  <si>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</si>
  <si>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</si>
  <si>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</si>
  <si>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</si>
  <si>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</si>
  <si>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</si>
  <si>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</si>
  <si>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</si>
  <si>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</si>
  <si>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</si>
  <si>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</si>
  <si>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</si>
  <si>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</si>
  <si>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</si>
  <si>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</si>
  <si>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</si>
  <si>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</si>
  <si>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</si>
  <si>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</si>
  <si>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</si>
  <si>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</si>
  <si>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</si>
  <si>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</si>
  <si>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</si>
  <si>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</si>
  <si>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</si>
  <si>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</si>
  <si>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</si>
  <si>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</si>
  <si>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</si>
  <si>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</si>
  <si>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</si>
  <si>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</si>
  <si>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</si>
  <si>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</si>
  <si>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</si>
  <si>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</si>
  <si>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</si>
  <si>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</si>
  <si>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</si>
  <si>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</si>
  <si>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</si>
  <si>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</si>
  <si>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</si>
  <si>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</si>
  <si>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</si>
  <si>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</si>
  <si>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</si>
  <si>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</si>
  <si>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</si>
  <si>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</si>
  <si>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</si>
  <si>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</si>
  <si>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</si>
  <si>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</si>
  <si>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</si>
  <si>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</si>
  <si>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</si>
  <si>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</si>
  <si>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</si>
  <si>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</si>
  <si>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</si>
  <si>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</si>
  <si>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</si>
  <si>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</si>
  <si>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</si>
  <si>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</si>
  <si>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</si>
  <si>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</si>
  <si>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</si>
  <si>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</si>
  <si>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</si>
  <si>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</si>
  <si>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</si>
  <si>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</si>
  <si>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</si>
  <si>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</si>
  <si>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</si>
  <si>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</si>
  <si>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</si>
  <si>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</si>
  <si>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</si>
  <si>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</si>
  <si>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</si>
  <si>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</si>
  <si>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</si>
  <si>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</si>
  <si>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</si>
  <si>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</si>
  <si>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</si>
  <si>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</si>
  <si>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</si>
  <si>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</si>
  <si>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</si>
  <si>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</si>
  <si>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</si>
  <si>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</si>
  <si>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</si>
  <si>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</si>
  <si>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</si>
  <si>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</si>
  <si>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</si>
  <si>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</si>
  <si>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</si>
  <si>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</si>
  <si>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</si>
  <si>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</si>
  <si>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</si>
  <si>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</si>
  <si>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</si>
  <si>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</si>
  <si>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</si>
  <si>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</si>
  <si>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</si>
  <si>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</si>
  <si>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</si>
  <si>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</si>
  <si>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</si>
  <si>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</si>
  <si>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</si>
  <si>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</si>
  <si>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</si>
  <si>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</si>
  <si>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</si>
  <si>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</si>
  <si>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</si>
  <si>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</si>
  <si>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</si>
  <si>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</si>
  <si>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</si>
  <si>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</si>
  <si>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</si>
  <si>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</si>
  <si>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</si>
  <si>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</si>
  <si>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</si>
  <si>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</si>
  <si>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</si>
  <si>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</si>
  <si>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</si>
  <si>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</si>
  <si>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</si>
  <si>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</si>
  <si>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</si>
  <si>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</si>
  <si>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</si>
  <si>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</si>
  <si>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</si>
  <si>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</si>
  <si>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</si>
  <si>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</si>
  <si>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</si>
  <si>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</si>
  <si>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</si>
  <si>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</si>
  <si>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</si>
  <si>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</si>
  <si>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</si>
  <si>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</si>
  <si>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</si>
  <si>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</si>
  <si>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</si>
  <si>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</si>
  <si>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</si>
  <si>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</si>
  <si>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</si>
  <si>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</si>
  <si>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</si>
  <si>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</si>
  <si>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</si>
  <si>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</si>
  <si>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</si>
  <si>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</si>
  <si>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</si>
  <si>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</si>
  <si>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</si>
  <si>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</si>
  <si>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</si>
  <si>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</si>
  <si>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</si>
  <si>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</si>
  <si>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</si>
  <si>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</si>
  <si>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</si>
  <si>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</si>
  <si>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</si>
  <si>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</si>
  <si>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</si>
  <si>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</si>
  <si>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</si>
  <si>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</si>
  <si>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</si>
  <si>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</si>
  <si>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</si>
  <si>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</si>
  <si>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</si>
  <si>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</si>
  <si>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</si>
  <si>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</si>
  <si>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</si>
  <si>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</si>
  <si>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</si>
  <si>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</si>
  <si>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</si>
  <si>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</si>
  <si>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Stadtwerke Arnstadt Netz GmbH &amp; Co. KG</t>
  </si>
  <si>
    <t>Elxlebener Weg 8</t>
  </si>
  <si>
    <t>Arnstadt</t>
  </si>
  <si>
    <t>Ramona Haase</t>
  </si>
  <si>
    <t>r.haase@arnstadt-netz.de</t>
  </si>
  <si>
    <t>03628/745-212</t>
  </si>
  <si>
    <t>GASPOOLNH7004281</t>
  </si>
  <si>
    <t>Erfurt Flughafen</t>
  </si>
  <si>
    <t>DE_GBA04</t>
  </si>
  <si>
    <t>DE_GBD04</t>
  </si>
  <si>
    <t>DE_GBH04</t>
  </si>
  <si>
    <t>DE_GGA04</t>
  </si>
  <si>
    <t>DE_GGB04</t>
  </si>
  <si>
    <t>DE_GHA04</t>
  </si>
  <si>
    <t>DE_GKO04</t>
  </si>
  <si>
    <t>DE_GMK04</t>
  </si>
  <si>
    <t>DE_GWA04</t>
  </si>
  <si>
    <t>HK3</t>
  </si>
  <si>
    <t>BA4</t>
  </si>
  <si>
    <t>BD4</t>
  </si>
  <si>
    <t>BH4</t>
  </si>
  <si>
    <t>GA4</t>
  </si>
  <si>
    <t>GB4</t>
  </si>
  <si>
    <t>HA4</t>
  </si>
  <si>
    <t>KO4</t>
  </si>
  <si>
    <t>MK4</t>
  </si>
  <si>
    <t>WA4</t>
  </si>
  <si>
    <t>9870042800002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</si>
</sst>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43663</v>
      </c>
      <c r="E29" s="8"/>
      <c r="F29" s="8"/>
      <c r="G29" s="8"/>
      <c r="H29" s="8"/>
    </row>
    <row r="30" spans="2:12">
      <c r="B30" s="21" t="s">
        <v>350</v>
      </c>
      <c r="C30" s="339" t="s">
        <v>658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53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43678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48" t="s">
        <v>686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99310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Stadtwerke Arnstadt Netz GmbH &amp; Co. KG</v>
      </c>
      <c r="E28" s="38"/>
      <c r="F28" s="11"/>
      <c r="G28" s="2"/>
    </row>
    <row r="29" spans="1:15">
      <c r="B29" s="15"/>
      <c r="C29" s="22" t="s">
        <v>398</v>
      </c>
      <c r="D29" s="45" t="s">
        <v>659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Arnstadt Netz GmbH &amp; Co. KG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Stadtwerke Arnstadt Netz GmbH &amp; Co. KG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>9870042800002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43678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621</v>
      </c>
      <c r="D13" s="33" t="s">
        <v>622</v>
      </c>
      <c r="E13" s="15"/>
      <c r="H13" s="277" t="s">
        <v>622</v>
      </c>
      <c r="I13" s="277" t="s">
        <v>623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665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371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581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619</v>
      </c>
      <c r="D22" s="49" t="s">
        <v>615</v>
      </c>
      <c r="E22" s="15"/>
      <c r="H22" s="273" t="s">
        <v>615</v>
      </c>
      <c r="I22" s="273" t="s">
        <v>616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73" t="s">
        <v>618</v>
      </c>
      <c r="I23" s="8" t="s">
        <v>614</v>
      </c>
      <c r="J23" s="8"/>
      <c r="K23" s="8"/>
      <c r="L23" s="274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3" t="s">
        <v>617</v>
      </c>
      <c r="I24" s="273" t="s">
        <v>624</v>
      </c>
      <c r="J24" s="8"/>
      <c r="K24" s="8"/>
      <c r="L24" s="276" t="s">
        <v>625</v>
      </c>
      <c r="M24" s="276" t="s">
        <v>627</v>
      </c>
      <c r="N24" s="276" t="s">
        <v>626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373</v>
      </c>
      <c r="C26" s="6" t="s">
        <v>584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628</v>
      </c>
      <c r="D27" s="42" t="s">
        <v>629</v>
      </c>
      <c r="E27" s="15"/>
      <c r="H27" s="309" t="s">
        <v>629</v>
      </c>
      <c r="I27" s="275" t="s">
        <v>630</v>
      </c>
      <c r="J27" s="275" t="s">
        <v>631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632</v>
      </c>
      <c r="I28" s="276" t="s">
        <v>633</v>
      </c>
      <c r="J28" s="276" t="s">
        <v>634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635</v>
      </c>
      <c r="I29" s="276" t="s">
        <v>636</v>
      </c>
      <c r="J29" s="276" t="s">
        <v>637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583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638</v>
      </c>
      <c r="I32" s="276" t="s">
        <v>639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640</v>
      </c>
      <c r="I33" s="273" t="s">
        <v>635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555</v>
      </c>
      <c r="C35" s="24" t="s">
        <v>500</v>
      </c>
      <c r="D35" s="269">
        <v>12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556</v>
      </c>
      <c r="C37" s="5" t="s">
        <v>368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557</v>
      </c>
      <c r="C40" s="5" t="s">
        <v>369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5" t="s">
        <v>661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 sheet="1" objects="1" scenarios="1"/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H34" sqref="H34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Arnstadt Netz GmbH &amp; Co. KG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1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 t="str">
        <f>INDEX('SLP-Verfahren'!D48:D62,'SLP-Temp-Gebiet #01'!F10)</f>
        <v>Arnstadt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9" t="s">
        <v>590</v>
      </c>
      <c r="D13" s="349"/>
      <c r="E13" s="349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0" t="s">
        <v>452</v>
      </c>
      <c r="D14" s="350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50" t="s">
        <v>390</v>
      </c>
      <c r="D15" s="350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666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10554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519</v>
      </c>
      <c r="F34" s="157" t="s">
        <v>519</v>
      </c>
      <c r="G34" s="157" t="s">
        <v>519</v>
      </c>
      <c r="H34" s="157" t="s">
        <v>519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Erfurt Flughafen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10554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Kalendertag</v>
      </c>
      <c r="F68" s="160" t="str">
        <f t="shared" ref="F68:N68" si="15">F34</f>
        <v>Kalendertag</v>
      </c>
      <c r="G68" s="160" t="str">
        <f t="shared" si="15"/>
        <v>Kalendertag</v>
      </c>
      <c r="H68" s="160" t="str">
        <f t="shared" si="15"/>
        <v>Kalendertag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51" t="s">
        <v>586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Arnstadt Netz GmbH &amp; Co. KG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2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9" t="s">
        <v>590</v>
      </c>
      <c r="D13" s="349"/>
      <c r="E13" s="349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0" t="s">
        <v>452</v>
      </c>
      <c r="D14" s="350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50" t="s">
        <v>390</v>
      </c>
      <c r="D15" s="350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1" t="s">
        <v>586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26" sqref="J26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367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372</v>
      </c>
      <c r="D5" s="54" t="str">
        <f>Netzbetreiber!$D$9</f>
        <v>Stadtwerke Arnstadt Netz GmbH &amp; Co. KG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339</v>
      </c>
      <c r="D6" s="54" t="str">
        <f>Netzbetreiber!$D$28</f>
        <v>Stadtwerke Arnstadt Netz GmbH &amp; Co. KG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>9870042800002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43678</v>
      </c>
      <c r="E8" s="131"/>
      <c r="F8" s="131"/>
      <c r="H8" s="129" t="s">
        <v>500</v>
      </c>
      <c r="J8" s="133">
        <f>COUNTA(D12:D100)</f>
        <v>12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6" t="s">
        <v>654</v>
      </c>
    </row>
    <row r="11" spans="2:26" ht="15.75" thickBot="1">
      <c r="B11" s="140" t="s">
        <v>501</v>
      </c>
      <c r="C11" s="141" t="s">
        <v>516</v>
      </c>
      <c r="D11" s="305" t="s">
        <v>248</v>
      </c>
      <c r="E11" s="165" t="s">
        <v>59</v>
      </c>
      <c r="F11" s="307" t="str">
        <f>VLOOKUP($E11,'BDEW-Standard'!$B$3:$M$158,F$9,0)</f>
        <v>T14</v>
      </c>
      <c r="H11" s="168">
        <f>ROUND(VLOOKUP($E11,'BDEW-Standard'!$B$3:$M$158,H$9,0),7)</f>
        <v>3.159294</v>
      </c>
      <c r="I11" s="168">
        <f>ROUND(VLOOKUP($E11,'BDEW-Standard'!$B$3:$M$158,I$9,0),7)</f>
        <v>-37.406886</v>
      </c>
      <c r="J11" s="168">
        <f>ROUND(VLOOKUP($E11,'BDEW-Standard'!$B$3:$M$158,J$9,0),7)</f>
        <v>6.1418926000000003</v>
      </c>
      <c r="K11" s="168">
        <f>ROUND(VLOOKUP($E11,'BDEW-Standard'!$B$3:$M$158,K$9,0),7)</f>
        <v>9.3729099999999996E-2</v>
      </c>
      <c r="L11" s="215">
        <f>ROUND(VLOOKUP($E11,'BDEW-Standard'!$B$3:$M$158,L$9,0),1)</f>
        <v>40</v>
      </c>
      <c r="M11" s="168">
        <f>ROUND(VLOOKUP($E11,'BDEW-Standard'!$B$3:$M$158,M$9,0),7)</f>
        <v>0</v>
      </c>
      <c r="N11" s="168">
        <f>ROUND(VLOOKUP($E11,'BDEW-Standard'!$B$3:$M$158,N$9,0),7)</f>
        <v>0</v>
      </c>
      <c r="O11" s="168">
        <f>ROUND(VLOOKUP($E11,'BDEW-Standard'!$B$3:$M$158,O$9,0),7)</f>
        <v>0</v>
      </c>
      <c r="P11" s="168">
        <f>ROUND(VLOOKUP($E11,'BDEW-Standard'!$B$3:$M$158,P$9,0),7)</f>
        <v>0</v>
      </c>
      <c r="Q11" s="214">
        <f>($H11/(1+($I11/($Q$9-$L11))^$J11)+$K11)+MAX($M11*$Q$9+$N11,$O11*$Q$9+$P11)</f>
        <v>0.96918650224521152</v>
      </c>
      <c r="R11" s="169">
        <f>ROUND(VLOOKUP(MID($E11,4,3),'Wochentag F(WT)'!$B$7:$J$22,R$9,0),4)</f>
        <v>1</v>
      </c>
      <c r="S11" s="169">
        <f>ROUND(VLOOKUP(MID($E11,4,3),'Wochentag F(WT)'!$B$7:$J$22,S$9,0),4)</f>
        <v>1</v>
      </c>
      <c r="T11" s="169">
        <f>ROUND(VLOOKUP(MID($E11,4,3),'Wochentag F(WT)'!$B$7:$J$22,T$9,0),4)</f>
        <v>1</v>
      </c>
      <c r="U11" s="169">
        <f>ROUND(VLOOKUP(MID($E11,4,3),'Wochentag F(WT)'!$B$7:$J$22,U$9,0),4)</f>
        <v>1</v>
      </c>
      <c r="V11" s="169">
        <f>ROUND(VLOOKUP(MID($E11,4,3),'Wochentag F(WT)'!$B$7:$J$22,V$9,0),4)</f>
        <v>1</v>
      </c>
      <c r="W11" s="169">
        <f>ROUND(VLOOKUP(MID($E11,4,3),'Wochentag F(WT)'!$B$7:$J$22,W$9,0),4)</f>
        <v>1</v>
      </c>
      <c r="X11" s="170">
        <f>7-SUM(R11:W11)</f>
        <v>1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Arnstadt Netz GmbH &amp; Co. KG</v>
      </c>
      <c r="D12" s="63" t="s">
        <v>248</v>
      </c>
      <c r="E12" s="166" t="s">
        <v>69</v>
      </c>
      <c r="F12" s="308" t="s">
        <v>337</v>
      </c>
      <c r="H12" s="279">
        <v>2.4859160999999999</v>
      </c>
      <c r="I12" s="279">
        <v>-35.043597800000001</v>
      </c>
      <c r="J12" s="279">
        <v>6.2818214000000001</v>
      </c>
      <c r="K12" s="279">
        <v>0.13042619999999999</v>
      </c>
      <c r="L12" s="280">
        <v>40</v>
      </c>
      <c r="M12" s="279">
        <v>0</v>
      </c>
      <c r="N12" s="279">
        <v>0</v>
      </c>
      <c r="O12" s="279">
        <v>0</v>
      </c>
      <c r="P12" s="279">
        <v>0</v>
      </c>
      <c r="Q12" s="281">
        <v>1.0280018127680663</v>
      </c>
      <c r="R12" s="282">
        <v>1</v>
      </c>
      <c r="S12" s="282">
        <v>1</v>
      </c>
      <c r="T12" s="282">
        <v>1</v>
      </c>
      <c r="U12" s="282">
        <v>1</v>
      </c>
      <c r="V12" s="282">
        <v>1</v>
      </c>
      <c r="W12" s="282">
        <v>1</v>
      </c>
      <c r="X12" s="283"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Arnstadt Netz GmbH &amp; Co. KG</v>
      </c>
      <c r="D13" s="63" t="s">
        <v>248</v>
      </c>
      <c r="E13" s="166" t="s">
        <v>4</v>
      </c>
      <c r="F13" s="308" t="s">
        <v>676</v>
      </c>
      <c r="H13" s="279">
        <f>ROUND(VLOOKUP($E13,'BDEW-Standard'!$B$3:$M$94,H$9,0),7)</f>
        <v>0.40409319999999999</v>
      </c>
      <c r="I13" s="279">
        <f>ROUND(VLOOKUP($E13,'BDEW-Standard'!$B$3:$M$94,I$9,0),7)</f>
        <v>-24.439296800000001</v>
      </c>
      <c r="J13" s="279">
        <f>ROUND(VLOOKUP($E13,'BDEW-Standard'!$B$3:$M$94,J$9,0),7)</f>
        <v>6.5718174999999999</v>
      </c>
      <c r="K13" s="279">
        <f>ROUND(VLOOKUP($E13,'BDEW-Standard'!$B$3:$M$94,K$9,0),7)</f>
        <v>0.71077100000000004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ref="Q13:Q22" si="1">($H13/(1+($I13/($Q$9-$L13))^$J13)+$K13)+MAX($M13*$Q$9+$N13,$O13*$Q$9+$P13)</f>
        <v>1.0561214000512988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2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Stadtwerke Arnstadt Netz GmbH &amp; Co. KG</v>
      </c>
      <c r="D14" s="63" t="s">
        <v>248</v>
      </c>
      <c r="E14" s="166" t="s">
        <v>667</v>
      </c>
      <c r="F14" s="308" t="s">
        <v>677</v>
      </c>
      <c r="H14" s="279">
        <f>ROUND(VLOOKUP($E14,'BDEW-Standard'!$B$3:$M$94,H$9,0),7)</f>
        <v>0.93158890000000005</v>
      </c>
      <c r="I14" s="279">
        <f>ROUND(VLOOKUP($E14,'BDEW-Standard'!$B$3:$M$94,I$9,0),7)</f>
        <v>-33.35</v>
      </c>
      <c r="J14" s="279">
        <f>ROUND(VLOOKUP($E14,'BDEW-Standard'!$B$3:$M$94,J$9,0),7)</f>
        <v>5.7212303000000002</v>
      </c>
      <c r="K14" s="279">
        <f>ROUND(VLOOKUP($E14,'BDEW-Standard'!$B$3:$M$94,K$9,0),7)</f>
        <v>0.66564939999999995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1.0766391850538448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 t="shared" si="2"/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Stadtwerke Arnstadt Netz GmbH &amp; Co. KG</v>
      </c>
      <c r="D15" s="63" t="s">
        <v>248</v>
      </c>
      <c r="E15" s="166" t="s">
        <v>668</v>
      </c>
      <c r="F15" s="308" t="s">
        <v>678</v>
      </c>
      <c r="H15" s="279">
        <f>ROUND(VLOOKUP($E15,'BDEW-Standard'!$B$3:$M$94,H$9,0),7)</f>
        <v>3.75</v>
      </c>
      <c r="I15" s="279">
        <f>ROUND(VLOOKUP($E15,'BDEW-Standard'!$B$3:$M$94,I$9,0),7)</f>
        <v>-37.5</v>
      </c>
      <c r="J15" s="279">
        <f>ROUND(VLOOKUP($E15,'BDEW-Standard'!$B$3:$M$94,J$9,0),7)</f>
        <v>6.8</v>
      </c>
      <c r="K15" s="279">
        <f>ROUND(VLOOKUP($E15,'BDEW-Standard'!$B$3:$M$94,K$9,0),7)</f>
        <v>6.0911300000000002E-2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1.0126136468627658</v>
      </c>
      <c r="R15" s="282">
        <f>ROUND(VLOOKUP(MID($E15,4,3),'Wochentag F(WT)'!$B$7:$J$22,R$9,0),4)</f>
        <v>1.1052</v>
      </c>
      <c r="S15" s="282">
        <f>ROUND(VLOOKUP(MID($E15,4,3),'Wochentag F(WT)'!$B$7:$J$22,S$9,0),4)</f>
        <v>1.0857000000000001</v>
      </c>
      <c r="T15" s="282">
        <f>ROUND(VLOOKUP(MID($E15,4,3),'Wochentag F(WT)'!$B$7:$J$22,T$9,0),4)</f>
        <v>1.0378000000000001</v>
      </c>
      <c r="U15" s="282">
        <f>ROUND(VLOOKUP(MID($E15,4,3),'Wochentag F(WT)'!$B$7:$J$22,U$9,0),4)</f>
        <v>1.0622</v>
      </c>
      <c r="V15" s="282">
        <f>ROUND(VLOOKUP(MID($E15,4,3),'Wochentag F(WT)'!$B$7:$J$22,V$9,0),4)</f>
        <v>1.0266</v>
      </c>
      <c r="W15" s="282">
        <f>ROUND(VLOOKUP(MID($E15,4,3),'Wochentag F(WT)'!$B$7:$J$22,W$9,0),4)</f>
        <v>0.76290000000000002</v>
      </c>
      <c r="X15" s="283">
        <f t="shared" si="2"/>
        <v>0.91959999999999997</v>
      </c>
      <c r="Y15" s="304"/>
      <c r="Z15" s="213"/>
    </row>
    <row r="16" spans="2:26" s="144" customFormat="1">
      <c r="B16" s="145">
        <v>5</v>
      </c>
      <c r="C16" s="146" t="str">
        <f t="shared" si="0"/>
        <v>Stadtwerke Arnstadt Netz GmbH &amp; Co. KG</v>
      </c>
      <c r="D16" s="63" t="s">
        <v>248</v>
      </c>
      <c r="E16" s="166" t="s">
        <v>669</v>
      </c>
      <c r="F16" s="308" t="s">
        <v>679</v>
      </c>
      <c r="H16" s="279">
        <f>ROUND(VLOOKUP($E16,'BDEW-Standard'!$B$3:$M$94,H$9,0),7)</f>
        <v>2.4595180999999999</v>
      </c>
      <c r="I16" s="279">
        <f>ROUND(VLOOKUP($E16,'BDEW-Standard'!$B$3:$M$94,I$9,0),7)</f>
        <v>-35.253212400000002</v>
      </c>
      <c r="J16" s="279">
        <f>ROUND(VLOOKUP($E16,'BDEW-Standard'!$B$3:$M$94,J$9,0),7)</f>
        <v>6.0587001000000003</v>
      </c>
      <c r="K16" s="279">
        <f>ROUND(VLOOKUP($E16,'BDEW-Standard'!$B$3:$M$94,K$9,0),7)</f>
        <v>0.16473699999999999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1.043802057143173</v>
      </c>
      <c r="R16" s="282">
        <f>ROUND(VLOOKUP(MID($E16,4,3),'Wochentag F(WT)'!$B$7:$J$22,R$9,0),4)</f>
        <v>0.97670000000000001</v>
      </c>
      <c r="S16" s="282">
        <f>ROUND(VLOOKUP(MID($E16,4,3),'Wochentag F(WT)'!$B$7:$J$22,S$9,0),4)</f>
        <v>1.0388999999999999</v>
      </c>
      <c r="T16" s="282">
        <f>ROUND(VLOOKUP(MID($E16,4,3),'Wochentag F(WT)'!$B$7:$J$22,T$9,0),4)</f>
        <v>1.0027999999999999</v>
      </c>
      <c r="U16" s="282">
        <f>ROUND(VLOOKUP(MID($E16,4,3),'Wochentag F(WT)'!$B$7:$J$22,U$9,0),4)</f>
        <v>1.0162</v>
      </c>
      <c r="V16" s="282">
        <f>ROUND(VLOOKUP(MID($E16,4,3),'Wochentag F(WT)'!$B$7:$J$22,V$9,0),4)</f>
        <v>1.0024</v>
      </c>
      <c r="W16" s="282">
        <f>ROUND(VLOOKUP(MID($E16,4,3),'Wochentag F(WT)'!$B$7:$J$22,W$9,0),4)</f>
        <v>1.0043</v>
      </c>
      <c r="X16" s="283">
        <f t="shared" si="2"/>
        <v>0.95870000000000122</v>
      </c>
      <c r="Y16" s="304"/>
      <c r="Z16" s="213"/>
    </row>
    <row r="17" spans="2:26" s="144" customFormat="1">
      <c r="B17" s="145">
        <v>6</v>
      </c>
      <c r="C17" s="146" t="str">
        <f t="shared" si="0"/>
        <v>Stadtwerke Arnstadt Netz GmbH &amp; Co. KG</v>
      </c>
      <c r="D17" s="63" t="s">
        <v>248</v>
      </c>
      <c r="E17" s="166" t="s">
        <v>670</v>
      </c>
      <c r="F17" s="308" t="s">
        <v>680</v>
      </c>
      <c r="H17" s="279">
        <f>ROUND(VLOOKUP($E17,'BDEW-Standard'!$B$3:$M$94,H$9,0),7)</f>
        <v>2.8195655999999998</v>
      </c>
      <c r="I17" s="279">
        <f>ROUND(VLOOKUP($E17,'BDEW-Standard'!$B$3:$M$94,I$9,0),7)</f>
        <v>-36</v>
      </c>
      <c r="J17" s="279">
        <f>ROUND(VLOOKUP($E17,'BDEW-Standard'!$B$3:$M$94,J$9,0),7)</f>
        <v>7.7368518000000002</v>
      </c>
      <c r="K17" s="279">
        <f>ROUND(VLOOKUP($E17,'BDEW-Standard'!$B$3:$M$94,K$9,0),7)</f>
        <v>0.157281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0.96576337685759206</v>
      </c>
      <c r="R17" s="282">
        <f>ROUND(VLOOKUP(MID($E17,4,3),'Wochentag F(WT)'!$B$7:$J$22,R$9,0),4)</f>
        <v>0.93220000000000003</v>
      </c>
      <c r="S17" s="282">
        <f>ROUND(VLOOKUP(MID($E17,4,3),'Wochentag F(WT)'!$B$7:$J$22,S$9,0),4)</f>
        <v>0.98939999999999995</v>
      </c>
      <c r="T17" s="282">
        <f>ROUND(VLOOKUP(MID($E17,4,3),'Wochentag F(WT)'!$B$7:$J$22,T$9,0),4)</f>
        <v>1.0033000000000001</v>
      </c>
      <c r="U17" s="282">
        <f>ROUND(VLOOKUP(MID($E17,4,3),'Wochentag F(WT)'!$B$7:$J$22,U$9,0),4)</f>
        <v>1.0108999999999999</v>
      </c>
      <c r="V17" s="282">
        <f>ROUND(VLOOKUP(MID($E17,4,3),'Wochentag F(WT)'!$B$7:$J$22,V$9,0),4)</f>
        <v>1.018</v>
      </c>
      <c r="W17" s="282">
        <f>ROUND(VLOOKUP(MID($E17,4,3),'Wochentag F(WT)'!$B$7:$J$22,W$9,0),4)</f>
        <v>1.0356000000000001</v>
      </c>
      <c r="X17" s="283">
        <f t="shared" si="2"/>
        <v>1.0106000000000002</v>
      </c>
      <c r="Y17" s="304"/>
      <c r="Z17" s="213"/>
    </row>
    <row r="18" spans="2:26" s="144" customFormat="1">
      <c r="B18" s="145">
        <v>7</v>
      </c>
      <c r="C18" s="146" t="str">
        <f t="shared" si="0"/>
        <v>Stadtwerke Arnstadt Netz GmbH &amp; Co. KG</v>
      </c>
      <c r="D18" s="63" t="s">
        <v>248</v>
      </c>
      <c r="E18" s="166" t="s">
        <v>671</v>
      </c>
      <c r="F18" s="308" t="s">
        <v>681</v>
      </c>
      <c r="H18" s="279">
        <f>ROUND(VLOOKUP($E18,'BDEW-Standard'!$B$3:$M$94,H$9,0),7)</f>
        <v>3.6017736</v>
      </c>
      <c r="I18" s="279">
        <f>ROUND(VLOOKUP($E18,'BDEW-Standard'!$B$3:$M$94,I$9,0),7)</f>
        <v>-37.882536799999997</v>
      </c>
      <c r="J18" s="279">
        <f>ROUND(VLOOKUP($E18,'BDEW-Standard'!$B$3:$M$94,J$9,0),7)</f>
        <v>6.9836070000000001</v>
      </c>
      <c r="K18" s="279">
        <f>ROUND(VLOOKUP($E18,'BDEW-Standard'!$B$3:$M$94,K$9,0),7)</f>
        <v>5.4826199999999999E-2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0.90239375975311864</v>
      </c>
      <c r="R18" s="282">
        <f>ROUND(VLOOKUP(MID($E18,4,3),'Wochentag F(WT)'!$B$7:$J$22,R$9,0),4)</f>
        <v>0.98970000000000002</v>
      </c>
      <c r="S18" s="282">
        <f>ROUND(VLOOKUP(MID($E18,4,3),'Wochentag F(WT)'!$B$7:$J$22,S$9,0),4)</f>
        <v>0.9627</v>
      </c>
      <c r="T18" s="282">
        <f>ROUND(VLOOKUP(MID($E18,4,3),'Wochentag F(WT)'!$B$7:$J$22,T$9,0),4)</f>
        <v>1.0507</v>
      </c>
      <c r="U18" s="282">
        <f>ROUND(VLOOKUP(MID($E18,4,3),'Wochentag F(WT)'!$B$7:$J$22,U$9,0),4)</f>
        <v>1.0551999999999999</v>
      </c>
      <c r="V18" s="282">
        <f>ROUND(VLOOKUP(MID($E18,4,3),'Wochentag F(WT)'!$B$7:$J$22,V$9,0),4)</f>
        <v>1.0297000000000001</v>
      </c>
      <c r="W18" s="282">
        <f>ROUND(VLOOKUP(MID($E18,4,3),'Wochentag F(WT)'!$B$7:$J$22,W$9,0),4)</f>
        <v>0.97670000000000001</v>
      </c>
      <c r="X18" s="283">
        <f t="shared" si="2"/>
        <v>0.9352999999999998</v>
      </c>
      <c r="Y18" s="304"/>
      <c r="Z18" s="213"/>
    </row>
    <row r="19" spans="2:26" s="144" customFormat="1">
      <c r="B19" s="145">
        <v>8</v>
      </c>
      <c r="C19" s="146" t="str">
        <f t="shared" si="0"/>
        <v>Stadtwerke Arnstadt Netz GmbH &amp; Co. KG</v>
      </c>
      <c r="D19" s="63" t="s">
        <v>248</v>
      </c>
      <c r="E19" s="166" t="s">
        <v>672</v>
      </c>
      <c r="F19" s="308" t="s">
        <v>682</v>
      </c>
      <c r="H19" s="279">
        <f>ROUND(VLOOKUP($E19,'BDEW-Standard'!$B$3:$M$94,H$9,0),7)</f>
        <v>4.0196902000000003</v>
      </c>
      <c r="I19" s="279">
        <f>ROUND(VLOOKUP($E19,'BDEW-Standard'!$B$3:$M$94,I$9,0),7)</f>
        <v>-37.828203700000003</v>
      </c>
      <c r="J19" s="279">
        <f>ROUND(VLOOKUP($E19,'BDEW-Standard'!$B$3:$M$94,J$9,0),7)</f>
        <v>8.1593368999999996</v>
      </c>
      <c r="K19" s="279">
        <f>ROUND(VLOOKUP($E19,'BDEW-Standard'!$B$3:$M$94,K$9,0),7)</f>
        <v>4.72845E-2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0.86486713303260787</v>
      </c>
      <c r="R19" s="282">
        <f>ROUND(VLOOKUP(MID($E19,4,3),'Wochentag F(WT)'!$B$7:$J$22,R$9,0),4)</f>
        <v>1.0358000000000001</v>
      </c>
      <c r="S19" s="282">
        <f>ROUND(VLOOKUP(MID($E19,4,3),'Wochentag F(WT)'!$B$7:$J$22,S$9,0),4)</f>
        <v>1.0232000000000001</v>
      </c>
      <c r="T19" s="282">
        <f>ROUND(VLOOKUP(MID($E19,4,3),'Wochentag F(WT)'!$B$7:$J$22,T$9,0),4)</f>
        <v>1.0251999999999999</v>
      </c>
      <c r="U19" s="282">
        <f>ROUND(VLOOKUP(MID($E19,4,3),'Wochentag F(WT)'!$B$7:$J$22,U$9,0),4)</f>
        <v>1.0295000000000001</v>
      </c>
      <c r="V19" s="282">
        <f>ROUND(VLOOKUP(MID($E19,4,3),'Wochentag F(WT)'!$B$7:$J$22,V$9,0),4)</f>
        <v>1.0253000000000001</v>
      </c>
      <c r="W19" s="282">
        <f>ROUND(VLOOKUP(MID($E19,4,3),'Wochentag F(WT)'!$B$7:$J$22,W$9,0),4)</f>
        <v>0.96750000000000003</v>
      </c>
      <c r="X19" s="283">
        <f t="shared" si="2"/>
        <v>0.89350000000000041</v>
      </c>
      <c r="Y19" s="304"/>
      <c r="Z19" s="213"/>
    </row>
    <row r="20" spans="2:26" s="144" customFormat="1">
      <c r="B20" s="145">
        <v>9</v>
      </c>
      <c r="C20" s="146" t="str">
        <f t="shared" si="0"/>
        <v>Stadtwerke Arnstadt Netz GmbH &amp; Co. KG</v>
      </c>
      <c r="D20" s="63" t="s">
        <v>248</v>
      </c>
      <c r="E20" s="166" t="s">
        <v>673</v>
      </c>
      <c r="F20" s="308" t="s">
        <v>683</v>
      </c>
      <c r="H20" s="279">
        <f>ROUND(VLOOKUP($E20,'BDEW-Standard'!$B$3:$M$94,H$9,0),7)</f>
        <v>3.4428942999999999</v>
      </c>
      <c r="I20" s="279">
        <f>ROUND(VLOOKUP($E20,'BDEW-Standard'!$B$3:$M$94,I$9,0),7)</f>
        <v>-36.659050399999998</v>
      </c>
      <c r="J20" s="279">
        <f>ROUND(VLOOKUP($E20,'BDEW-Standard'!$B$3:$M$94,J$9,0),7)</f>
        <v>7.6083226000000002</v>
      </c>
      <c r="K20" s="279">
        <f>ROUND(VLOOKUP($E20,'BDEW-Standard'!$B$3:$M$94,K$9,0),7)</f>
        <v>7.4685000000000001E-2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0.97768382110526542</v>
      </c>
      <c r="R20" s="282">
        <f>ROUND(VLOOKUP(MID($E20,4,3),'Wochentag F(WT)'!$B$7:$J$22,R$9,0),4)</f>
        <v>1.0354000000000001</v>
      </c>
      <c r="S20" s="282">
        <f>ROUND(VLOOKUP(MID($E20,4,3),'Wochentag F(WT)'!$B$7:$J$22,S$9,0),4)</f>
        <v>1.0523</v>
      </c>
      <c r="T20" s="282">
        <f>ROUND(VLOOKUP(MID($E20,4,3),'Wochentag F(WT)'!$B$7:$J$22,T$9,0),4)</f>
        <v>1.0448999999999999</v>
      </c>
      <c r="U20" s="282">
        <f>ROUND(VLOOKUP(MID($E20,4,3),'Wochentag F(WT)'!$B$7:$J$22,U$9,0),4)</f>
        <v>1.0494000000000001</v>
      </c>
      <c r="V20" s="282">
        <f>ROUND(VLOOKUP(MID($E20,4,3),'Wochentag F(WT)'!$B$7:$J$22,V$9,0),4)</f>
        <v>0.98850000000000005</v>
      </c>
      <c r="W20" s="282">
        <f>ROUND(VLOOKUP(MID($E20,4,3),'Wochentag F(WT)'!$B$7:$J$22,W$9,0),4)</f>
        <v>0.88600000000000001</v>
      </c>
      <c r="X20" s="283">
        <f t="shared" si="2"/>
        <v>0.94349999999999934</v>
      </c>
      <c r="Y20" s="304"/>
      <c r="Z20" s="213"/>
    </row>
    <row r="21" spans="2:26" s="144" customFormat="1">
      <c r="B21" s="145">
        <v>10</v>
      </c>
      <c r="C21" s="146" t="str">
        <f t="shared" si="0"/>
        <v>Stadtwerke Arnstadt Netz GmbH &amp; Co. KG</v>
      </c>
      <c r="D21" s="63" t="s">
        <v>248</v>
      </c>
      <c r="E21" s="166" t="s">
        <v>674</v>
      </c>
      <c r="F21" s="308" t="s">
        <v>684</v>
      </c>
      <c r="H21" s="279">
        <f>ROUND(VLOOKUP($E21,'BDEW-Standard'!$B$3:$M$94,H$9,0),7)</f>
        <v>3.1177248</v>
      </c>
      <c r="I21" s="279">
        <f>ROUND(VLOOKUP($E21,'BDEW-Standard'!$B$3:$M$94,I$9,0),7)</f>
        <v>-35.871506199999999</v>
      </c>
      <c r="J21" s="279">
        <f>ROUND(VLOOKUP($E21,'BDEW-Standard'!$B$3:$M$94,J$9,0),7)</f>
        <v>7.5186828999999999</v>
      </c>
      <c r="K21" s="279">
        <f>ROUND(VLOOKUP($E21,'BDEW-Standard'!$B$3:$M$94,K$9,0),7)</f>
        <v>3.4330100000000002E-2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0.9622064996731321</v>
      </c>
      <c r="R21" s="282">
        <f>ROUND(VLOOKUP(MID($E21,4,3),'Wochentag F(WT)'!$B$7:$J$22,R$9,0),4)</f>
        <v>1.0699000000000001</v>
      </c>
      <c r="S21" s="282">
        <f>ROUND(VLOOKUP(MID($E21,4,3),'Wochentag F(WT)'!$B$7:$J$22,S$9,0),4)</f>
        <v>1.0365</v>
      </c>
      <c r="T21" s="282">
        <f>ROUND(VLOOKUP(MID($E21,4,3),'Wochentag F(WT)'!$B$7:$J$22,T$9,0),4)</f>
        <v>0.99329999999999996</v>
      </c>
      <c r="U21" s="282">
        <f>ROUND(VLOOKUP(MID($E21,4,3),'Wochentag F(WT)'!$B$7:$J$22,U$9,0),4)</f>
        <v>0.99480000000000002</v>
      </c>
      <c r="V21" s="282">
        <f>ROUND(VLOOKUP(MID($E21,4,3),'Wochentag F(WT)'!$B$7:$J$22,V$9,0),4)</f>
        <v>1.0659000000000001</v>
      </c>
      <c r="W21" s="282">
        <f>ROUND(VLOOKUP(MID($E21,4,3),'Wochentag F(WT)'!$B$7:$J$22,W$9,0),4)</f>
        <v>0.93620000000000003</v>
      </c>
      <c r="X21" s="283">
        <f t="shared" si="2"/>
        <v>0.90339999999999954</v>
      </c>
      <c r="Y21" s="304"/>
      <c r="Z21" s="213"/>
    </row>
    <row r="22" spans="2:26" s="144" customFormat="1">
      <c r="B22" s="145">
        <v>11</v>
      </c>
      <c r="C22" s="146" t="str">
        <f t="shared" si="0"/>
        <v>Stadtwerke Arnstadt Netz GmbH &amp; Co. KG</v>
      </c>
      <c r="D22" s="63" t="s">
        <v>248</v>
      </c>
      <c r="E22" s="166" t="s">
        <v>675</v>
      </c>
      <c r="F22" s="308" t="s">
        <v>685</v>
      </c>
      <c r="H22" s="279">
        <f>ROUND(VLOOKUP($E22,'BDEW-Standard'!$B$3:$M$94,H$9,0),7)</f>
        <v>1.0535874999999999</v>
      </c>
      <c r="I22" s="279">
        <f>ROUND(VLOOKUP($E22,'BDEW-Standard'!$B$3:$M$94,I$9,0),7)</f>
        <v>-35.299999999999997</v>
      </c>
      <c r="J22" s="279">
        <f>ROUND(VLOOKUP($E22,'BDEW-Standard'!$B$3:$M$94,J$9,0),7)</f>
        <v>4.8662747</v>
      </c>
      <c r="K22" s="279">
        <f>ROUND(VLOOKUP($E22,'BDEW-Standard'!$B$3:$M$94,K$9,0),7)</f>
        <v>0.68110420000000005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1.0844348950990992</v>
      </c>
      <c r="R22" s="282">
        <f>ROUND(VLOOKUP(MID($E22,4,3),'Wochentag F(WT)'!$B$7:$J$22,R$9,0),4)</f>
        <v>1.2457</v>
      </c>
      <c r="S22" s="282">
        <f>ROUND(VLOOKUP(MID($E22,4,3),'Wochentag F(WT)'!$B$7:$J$22,S$9,0),4)</f>
        <v>1.2615000000000001</v>
      </c>
      <c r="T22" s="282">
        <f>ROUND(VLOOKUP(MID($E22,4,3),'Wochentag F(WT)'!$B$7:$J$22,T$9,0),4)</f>
        <v>1.2706999999999999</v>
      </c>
      <c r="U22" s="282">
        <f>ROUND(VLOOKUP(MID($E22,4,3),'Wochentag F(WT)'!$B$7:$J$22,U$9,0),4)</f>
        <v>1.2430000000000001</v>
      </c>
      <c r="V22" s="282">
        <f>ROUND(VLOOKUP(MID($E22,4,3),'Wochentag F(WT)'!$B$7:$J$22,V$9,0),4)</f>
        <v>1.1275999999999999</v>
      </c>
      <c r="W22" s="282">
        <f>ROUND(VLOOKUP(MID($E22,4,3),'Wochentag F(WT)'!$B$7:$J$22,W$9,0),4)</f>
        <v>0.38769999999999999</v>
      </c>
      <c r="X22" s="283">
        <f t="shared" si="2"/>
        <v>0.46379999999999999</v>
      </c>
      <c r="Y22" s="304"/>
      <c r="Z22" s="213"/>
    </row>
    <row r="23" spans="2:26" s="144" customFormat="1">
      <c r="B23" s="145">
        <v>12</v>
      </c>
      <c r="C23" s="146" t="str">
        <f t="shared" si="0"/>
        <v>Stadtwerke Arnstadt Netz GmbH &amp; Co. KG</v>
      </c>
      <c r="D23" s="63" t="s">
        <v>248</v>
      </c>
      <c r="E23" s="166" t="s">
        <v>59</v>
      </c>
      <c r="F23" s="308" t="s">
        <v>327</v>
      </c>
      <c r="H23" s="279">
        <v>3.159294</v>
      </c>
      <c r="I23" s="279">
        <v>-37.406886</v>
      </c>
      <c r="J23" s="279">
        <v>6.1418926000000003</v>
      </c>
      <c r="K23" s="279">
        <v>9.3729099999999996E-2</v>
      </c>
      <c r="L23" s="280">
        <v>40</v>
      </c>
      <c r="M23" s="279">
        <v>0</v>
      </c>
      <c r="N23" s="279">
        <v>0</v>
      </c>
      <c r="O23" s="279">
        <v>0</v>
      </c>
      <c r="P23" s="279">
        <v>0</v>
      </c>
      <c r="Q23" s="281">
        <v>0.96918650224521152</v>
      </c>
      <c r="R23" s="282">
        <v>1</v>
      </c>
      <c r="S23" s="282">
        <v>1</v>
      </c>
      <c r="T23" s="282">
        <v>1</v>
      </c>
      <c r="U23" s="282">
        <v>1</v>
      </c>
      <c r="V23" s="282">
        <v>1</v>
      </c>
      <c r="W23" s="282">
        <v>1</v>
      </c>
      <c r="X23" s="283">
        <v>1</v>
      </c>
      <c r="Y23" s="304"/>
      <c r="Z23" s="213"/>
    </row>
    <row r="24" spans="2:26" s="144" customFormat="1">
      <c r="B24" s="145">
        <v>13</v>
      </c>
      <c r="C24" s="146" t="str">
        <f t="shared" si="0"/>
        <v>Stadtwerke Arnstadt Netz GmbH &amp; Co. KG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>
        <v>14</v>
      </c>
      <c r="C25" s="146" t="str">
        <f t="shared" si="0"/>
        <v>Stadtwerke Arnstadt Netz GmbH &amp; Co. KG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Stadtwerke Arnstadt Netz GmbH &amp; Co. KG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Stadtwerke Arnstadt Netz GmbH &amp; Co. KG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Arnstadt Netz GmbH &amp; Co. KG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Arnstadt Netz GmbH &amp; Co. KG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Arnstadt Netz GmbH &amp; Co. KG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Arnstadt Netz GmbH &amp; Co. KG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Arnstadt Netz GmbH &amp; Co. KG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Arnstadt Netz GmbH &amp; Co. KG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Arnstadt Netz GmbH &amp; Co. KG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Arnstadt Netz GmbH &amp; Co. KG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Arnstadt Netz GmbH &amp; Co. KG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Arnstadt Netz GmbH &amp; Co. KG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Arnstadt Netz GmbH &amp; Co. KG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Arnstadt Netz GmbH &amp; Co. KG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Arnstadt Netz GmbH &amp; Co. KG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Arnstadt Netz GmbH &amp; Co. KG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349</v>
      </c>
      <c r="B1" s="217">
        <v>42173</v>
      </c>
      <c r="D1" s="132" t="s">
        <v>458</v>
      </c>
      <c r="F1" s="218" t="s">
        <v>551</v>
      </c>
      <c r="N1" s="219"/>
    </row>
    <row r="2" spans="1:14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F2" sqref="F2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Arnstadt Netz GmbH &amp; Co. KG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Stadtwerke Arnstadt Netz GmbH &amp; Co. KG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 t="str">
        <f>Netzbetreiber!$D$11</f>
        <v>9870042800002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43678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2" t="s">
        <v>462</v>
      </c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>
      <c r="B10" s="357" t="s">
        <v>589</v>
      </c>
      <c r="C10" s="358"/>
      <c r="D10" s="95">
        <v>2</v>
      </c>
      <c r="E10" s="96" t="str">
        <f>IF(ISERROR(HLOOKUP(E$11,$M$9:$AD$35,$D10,0)),"",HLOOKUP(E$11,$M$9:$AD$35,$D10,0))</f>
        <v/>
      </c>
      <c r="F10" s="355" t="s">
        <v>400</v>
      </c>
      <c r="G10" s="355"/>
      <c r="H10" s="355"/>
      <c r="I10" s="355"/>
      <c r="J10" s="355"/>
      <c r="K10" s="355"/>
      <c r="L10" s="356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.75" thickBot="1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1</v>
      </c>
      <c r="AD11" s="72">
        <v>0</v>
      </c>
    </row>
    <row r="12" spans="2:30" ht="15">
      <c r="B12" s="110" t="s">
        <v>401</v>
      </c>
      <c r="C12" s="111"/>
      <c r="D12" s="112">
        <v>4</v>
      </c>
      <c r="E12" s="315">
        <f>MIN(SUMPRODUCT($M$11:$AD$11,M12:AD12),1)</f>
        <v>1</v>
      </c>
      <c r="F12" s="312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402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397</v>
      </c>
      <c r="G13" s="81" t="s">
        <v>397</v>
      </c>
      <c r="H13" s="81" t="s">
        <v>397</v>
      </c>
      <c r="I13" s="81" t="s">
        <v>397</v>
      </c>
      <c r="J13" s="81" t="s">
        <v>397</v>
      </c>
      <c r="K13" s="81" t="s">
        <v>397</v>
      </c>
      <c r="L13" s="82" t="s">
        <v>397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403</v>
      </c>
      <c r="C14" s="118"/>
      <c r="D14" s="112">
        <v>6</v>
      </c>
      <c r="E14" s="316">
        <f t="shared" si="0"/>
        <v>0</v>
      </c>
      <c r="F14" s="313" t="s">
        <v>397</v>
      </c>
      <c r="G14" s="81" t="s">
        <v>404</v>
      </c>
      <c r="H14" s="81" t="s">
        <v>404</v>
      </c>
      <c r="I14" s="81" t="s">
        <v>404</v>
      </c>
      <c r="J14" s="81" t="s">
        <v>404</v>
      </c>
      <c r="K14" s="81" t="s">
        <v>404</v>
      </c>
      <c r="L14" s="82" t="s">
        <v>404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405</v>
      </c>
      <c r="C15" s="118"/>
      <c r="D15" s="112">
        <v>7</v>
      </c>
      <c r="E15" s="316">
        <f t="shared" si="0"/>
        <v>0</v>
      </c>
      <c r="F15" s="313" t="s">
        <v>404</v>
      </c>
      <c r="G15" s="81" t="s">
        <v>396</v>
      </c>
      <c r="H15" s="81" t="s">
        <v>404</v>
      </c>
      <c r="I15" s="81" t="s">
        <v>404</v>
      </c>
      <c r="J15" s="81" t="s">
        <v>404</v>
      </c>
      <c r="K15" s="81" t="s">
        <v>404</v>
      </c>
      <c r="L15" s="82" t="s">
        <v>404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417</v>
      </c>
      <c r="C16" s="118"/>
      <c r="D16" s="112">
        <v>8</v>
      </c>
      <c r="E16" s="316">
        <f t="shared" si="0"/>
        <v>1</v>
      </c>
      <c r="F16" s="313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418</v>
      </c>
      <c r="C17" s="118"/>
      <c r="D17" s="112">
        <v>9</v>
      </c>
      <c r="E17" s="316">
        <f t="shared" si="0"/>
        <v>1</v>
      </c>
      <c r="F17" s="313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419</v>
      </c>
      <c r="C18" s="118"/>
      <c r="D18" s="112">
        <v>10</v>
      </c>
      <c r="E18" s="316">
        <f t="shared" si="0"/>
        <v>1</v>
      </c>
      <c r="F18" s="313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657</v>
      </c>
      <c r="C19" s="341"/>
      <c r="D19" s="112"/>
      <c r="E19" s="316">
        <v>1</v>
      </c>
      <c r="F19" s="313" t="s">
        <v>397</v>
      </c>
      <c r="G19" s="81" t="s">
        <v>397</v>
      </c>
      <c r="H19" s="81" t="s">
        <v>397</v>
      </c>
      <c r="I19" s="81" t="s">
        <v>397</v>
      </c>
      <c r="J19" s="81" t="s">
        <v>397</v>
      </c>
      <c r="K19" s="81" t="s">
        <v>397</v>
      </c>
      <c r="L19" s="82" t="s">
        <v>397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406</v>
      </c>
      <c r="C20" s="118"/>
      <c r="D20" s="112">
        <v>11</v>
      </c>
      <c r="E20" s="316">
        <f t="shared" si="0"/>
        <v>1</v>
      </c>
      <c r="F20" s="313" t="s">
        <v>397</v>
      </c>
      <c r="G20" s="81" t="s">
        <v>397</v>
      </c>
      <c r="H20" s="81" t="s">
        <v>397</v>
      </c>
      <c r="I20" s="81" t="s">
        <v>397</v>
      </c>
      <c r="J20" s="81" t="s">
        <v>397</v>
      </c>
      <c r="K20" s="81" t="s">
        <v>397</v>
      </c>
      <c r="L20" s="82" t="s">
        <v>397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655</v>
      </c>
      <c r="C21" s="118"/>
      <c r="D21" s="112">
        <v>12</v>
      </c>
      <c r="E21" s="316">
        <f t="shared" si="0"/>
        <v>1</v>
      </c>
      <c r="F21" s="313" t="s">
        <v>404</v>
      </c>
      <c r="G21" s="81" t="s">
        <v>404</v>
      </c>
      <c r="H21" s="81" t="s">
        <v>404</v>
      </c>
      <c r="I21" s="81" t="s">
        <v>397</v>
      </c>
      <c r="J21" s="81" t="s">
        <v>404</v>
      </c>
      <c r="K21" s="81" t="s">
        <v>404</v>
      </c>
      <c r="L21" s="82" t="s">
        <v>404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13</v>
      </c>
      <c r="E22" s="316">
        <f t="shared" si="0"/>
        <v>1</v>
      </c>
      <c r="F22" s="313" t="s">
        <v>404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397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421</v>
      </c>
      <c r="C23" s="118"/>
      <c r="D23" s="112">
        <v>14</v>
      </c>
      <c r="E23" s="316">
        <f t="shared" si="0"/>
        <v>1</v>
      </c>
      <c r="F23" s="313" t="s">
        <v>397</v>
      </c>
      <c r="G23" s="81" t="s">
        <v>404</v>
      </c>
      <c r="H23" s="81" t="s">
        <v>404</v>
      </c>
      <c r="I23" s="81" t="s">
        <v>404</v>
      </c>
      <c r="J23" s="81" t="s">
        <v>404</v>
      </c>
      <c r="K23" s="81" t="s">
        <v>404</v>
      </c>
      <c r="L23" s="82" t="s">
        <v>404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422</v>
      </c>
      <c r="C24" s="118"/>
      <c r="D24" s="112">
        <v>15</v>
      </c>
      <c r="E24" s="316">
        <f t="shared" si="0"/>
        <v>0</v>
      </c>
      <c r="F24" s="313" t="s">
        <v>404</v>
      </c>
      <c r="G24" s="81" t="s">
        <v>404</v>
      </c>
      <c r="H24" s="81" t="s">
        <v>404</v>
      </c>
      <c r="I24" s="81" t="s">
        <v>397</v>
      </c>
      <c r="J24" s="81" t="s">
        <v>404</v>
      </c>
      <c r="K24" s="81" t="s">
        <v>404</v>
      </c>
      <c r="L24" s="82" t="s">
        <v>404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16</v>
      </c>
      <c r="E25" s="316">
        <f t="shared" si="0"/>
        <v>0</v>
      </c>
      <c r="F25" s="313" t="s">
        <v>397</v>
      </c>
      <c r="G25" s="81" t="s">
        <v>397</v>
      </c>
      <c r="H25" s="81" t="s">
        <v>397</v>
      </c>
      <c r="I25" s="81" t="s">
        <v>397</v>
      </c>
      <c r="J25" s="81" t="s">
        <v>397</v>
      </c>
      <c r="K25" s="81" t="s">
        <v>397</v>
      </c>
      <c r="L25" s="82" t="s">
        <v>397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408</v>
      </c>
      <c r="C26" s="118"/>
      <c r="D26" s="112">
        <v>17</v>
      </c>
      <c r="E26" s="316">
        <f t="shared" si="0"/>
        <v>0</v>
      </c>
      <c r="F26" s="313" t="s">
        <v>397</v>
      </c>
      <c r="G26" s="81" t="s">
        <v>397</v>
      </c>
      <c r="H26" s="81" t="s">
        <v>397</v>
      </c>
      <c r="I26" s="81" t="s">
        <v>397</v>
      </c>
      <c r="J26" s="81" t="s">
        <v>397</v>
      </c>
      <c r="K26" s="81" t="s">
        <v>397</v>
      </c>
      <c r="L26" s="82" t="s">
        <v>397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656</v>
      </c>
      <c r="C27" s="341"/>
      <c r="D27" s="112"/>
      <c r="E27" s="316">
        <v>1</v>
      </c>
      <c r="F27" s="313" t="s">
        <v>397</v>
      </c>
      <c r="G27" s="81" t="s">
        <v>397</v>
      </c>
      <c r="H27" s="81" t="s">
        <v>397</v>
      </c>
      <c r="I27" s="81" t="s">
        <v>397</v>
      </c>
      <c r="J27" s="81" t="s">
        <v>397</v>
      </c>
      <c r="K27" s="81" t="s">
        <v>397</v>
      </c>
      <c r="L27" s="82" t="s">
        <v>397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409</v>
      </c>
      <c r="C28" s="118"/>
      <c r="D28" s="112">
        <v>18</v>
      </c>
      <c r="E28" s="316">
        <f t="shared" si="0"/>
        <v>1</v>
      </c>
      <c r="F28" s="313" t="s">
        <v>397</v>
      </c>
      <c r="G28" s="81" t="s">
        <v>397</v>
      </c>
      <c r="H28" s="81" t="s">
        <v>397</v>
      </c>
      <c r="I28" s="81" t="s">
        <v>397</v>
      </c>
      <c r="J28" s="81" t="s">
        <v>397</v>
      </c>
      <c r="K28" s="81" t="s">
        <v>397</v>
      </c>
      <c r="L28" s="82" t="s">
        <v>397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410</v>
      </c>
      <c r="C29" s="341"/>
      <c r="D29" s="342">
        <v>19</v>
      </c>
      <c r="E29" s="343">
        <v>1</v>
      </c>
      <c r="F29" s="313" t="s">
        <v>397</v>
      </c>
      <c r="G29" s="313" t="s">
        <v>397</v>
      </c>
      <c r="H29" s="313" t="s">
        <v>397</v>
      </c>
      <c r="I29" s="313" t="s">
        <v>397</v>
      </c>
      <c r="J29" s="313" t="s">
        <v>397</v>
      </c>
      <c r="K29" s="313" t="s">
        <v>397</v>
      </c>
      <c r="L29" s="313" t="s">
        <v>397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411</v>
      </c>
      <c r="C30" s="118"/>
      <c r="D30" s="112">
        <v>20</v>
      </c>
      <c r="E30" s="316">
        <f t="shared" si="0"/>
        <v>0</v>
      </c>
      <c r="F30" s="313" t="s">
        <v>397</v>
      </c>
      <c r="G30" s="81" t="s">
        <v>397</v>
      </c>
      <c r="H30" s="81" t="s">
        <v>397</v>
      </c>
      <c r="I30" s="81" t="s">
        <v>397</v>
      </c>
      <c r="J30" s="81" t="s">
        <v>397</v>
      </c>
      <c r="K30" s="81" t="s">
        <v>397</v>
      </c>
      <c r="L30" s="82" t="s">
        <v>397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412</v>
      </c>
      <c r="C31" s="118"/>
      <c r="D31" s="112">
        <v>21</v>
      </c>
      <c r="E31" s="316">
        <f t="shared" si="0"/>
        <v>0</v>
      </c>
      <c r="F31" s="313" t="s">
        <v>404</v>
      </c>
      <c r="G31" s="81" t="s">
        <v>404</v>
      </c>
      <c r="H31" s="81" t="s">
        <v>397</v>
      </c>
      <c r="I31" s="81" t="s">
        <v>404</v>
      </c>
      <c r="J31" s="81" t="s">
        <v>404</v>
      </c>
      <c r="K31" s="81" t="s">
        <v>404</v>
      </c>
      <c r="L31" s="82" t="s">
        <v>404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413</v>
      </c>
      <c r="C32" s="118"/>
      <c r="D32" s="112">
        <v>22</v>
      </c>
      <c r="E32" s="316">
        <f t="shared" si="0"/>
        <v>0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397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414</v>
      </c>
      <c r="C33" s="118"/>
      <c r="D33" s="112">
        <v>23</v>
      </c>
      <c r="E33" s="316">
        <f t="shared" si="0"/>
        <v>1</v>
      </c>
      <c r="F33" s="313" t="s">
        <v>397</v>
      </c>
      <c r="G33" s="81" t="s">
        <v>397</v>
      </c>
      <c r="H33" s="81" t="s">
        <v>397</v>
      </c>
      <c r="I33" s="81" t="s">
        <v>397</v>
      </c>
      <c r="J33" s="81" t="s">
        <v>397</v>
      </c>
      <c r="K33" s="81" t="s">
        <v>397</v>
      </c>
      <c r="L33" s="82" t="s">
        <v>397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415</v>
      </c>
      <c r="C34" s="118"/>
      <c r="D34" s="112">
        <v>24</v>
      </c>
      <c r="E34" s="316">
        <f t="shared" si="0"/>
        <v>1</v>
      </c>
      <c r="F34" s="313" t="s">
        <v>397</v>
      </c>
      <c r="G34" s="81" t="s">
        <v>397</v>
      </c>
      <c r="H34" s="81" t="s">
        <v>397</v>
      </c>
      <c r="I34" s="81" t="s">
        <v>397</v>
      </c>
      <c r="J34" s="81" t="s">
        <v>397</v>
      </c>
      <c r="K34" s="81" t="s">
        <v>397</v>
      </c>
      <c r="L34" s="82" t="s">
        <v>397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416</v>
      </c>
      <c r="C35" s="124"/>
      <c r="D35" s="125">
        <v>25</v>
      </c>
      <c r="E35" s="317">
        <f t="shared" si="0"/>
        <v>0</v>
      </c>
      <c r="F35" s="314" t="s">
        <v>396</v>
      </c>
      <c r="G35" s="83" t="s">
        <v>396</v>
      </c>
      <c r="H35" s="83" t="s">
        <v>396</v>
      </c>
      <c r="I35" s="83" t="s">
        <v>396</v>
      </c>
      <c r="J35" s="83" t="s">
        <v>396</v>
      </c>
      <c r="K35" s="83" t="s">
        <v>396</v>
      </c>
      <c r="L35" s="84" t="s">
        <v>397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sheetProtection sheet="1" objects="1" scenarios="1"/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459</v>
      </c>
      <c r="B1" s="129"/>
      <c r="D1" s="218" t="s">
        <v>551</v>
      </c>
    </row>
    <row r="2" spans="1:16">
      <c r="A2" s="238"/>
      <c r="B2" s="237" t="s">
        <v>460</v>
      </c>
    </row>
    <row r="3" spans="1:16" ht="20.100000000000001" customHeight="1">
      <c r="A3" s="359" t="s">
        <v>249</v>
      </c>
      <c r="B3" s="239" t="s">
        <v>86</v>
      </c>
      <c r="C3" s="240"/>
      <c r="D3" s="361" t="s">
        <v>461</v>
      </c>
      <c r="E3" s="362"/>
      <c r="F3" s="362"/>
      <c r="G3" s="362"/>
      <c r="H3" s="362"/>
      <c r="I3" s="362"/>
      <c r="J3" s="363"/>
      <c r="K3" s="241"/>
      <c r="L3" s="241"/>
      <c r="M3" s="241"/>
      <c r="N3" s="241"/>
      <c r="O3" s="242"/>
      <c r="P3" s="241"/>
    </row>
    <row r="4" spans="1:16" ht="20.100000000000001" customHeight="1">
      <c r="A4" s="360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370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370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Weise, Susen</cp:lastModifiedBy>
  <cp:lastPrinted>2015-03-20T22:59:10Z</cp:lastPrinted>
  <dcterms:created xsi:type="dcterms:W3CDTF">2015-01-15T05:25:41Z</dcterms:created>
  <dcterms:modified xsi:type="dcterms:W3CDTF">2019-09-27T08:02:51Z</dcterms:modified>
</cp:coreProperties>
</file>